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IBO_MODELO" sheetId="1" r:id="rId1"/>
  </sheets>
  <definedNames>
    <definedName name="_xlnm.Print_Area" localSheetId="0">'RECIBO_MODELO'!$A$1:$I$40</definedName>
    <definedName name="ITEM_RECIBO">#REF!</definedName>
    <definedName name="Letra">'RECIBO_MODELO'!$Z$16:$AG$27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Desplegar para elegir la Categoría del Trabajador
</t>
        </r>
      </text>
    </comment>
    <comment ref="A38" authorId="0">
      <text>
        <r>
          <rPr>
            <b/>
            <sz val="8"/>
            <color indexed="8"/>
            <rFont val="Tahoma"/>
            <family val="2"/>
          </rPr>
          <t xml:space="preserve">DESPLEGAR PARA ELEGIR ORIGINAL O DUPLICADO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Si no se paga PRESENTISMO, cargar el valor 0. Si se paga, cargar el valor 1
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Si no corresponde este adicional, poner 0 en esta celda.
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Cargar el mes que se abona con este formato: </t>
        </r>
        <r>
          <rPr>
            <b/>
            <sz val="8"/>
            <color indexed="10"/>
            <rFont val="Tahoma"/>
            <family val="2"/>
          </rPr>
          <t>dd/mm/aaaa</t>
        </r>
      </text>
    </comment>
    <comment ref="G10" authorId="0">
      <text>
        <r>
          <rPr>
            <sz val="8"/>
            <color indexed="8"/>
            <rFont val="Tahoma"/>
            <family val="2"/>
          </rPr>
          <t>Cargar la fecha de ingreso con este formato:</t>
        </r>
        <r>
          <rPr>
            <b/>
            <sz val="8"/>
            <color indexed="8"/>
            <rFont val="Tahoma"/>
            <family val="2"/>
          </rPr>
          <t xml:space="preserve">  </t>
        </r>
        <r>
          <rPr>
            <b/>
            <sz val="10"/>
            <color indexed="10"/>
            <rFont val="Tahoma"/>
            <family val="2"/>
          </rPr>
          <t>dd/mm/aaaa</t>
        </r>
      </text>
    </comment>
  </commentList>
</comments>
</file>

<file path=xl/sharedStrings.xml><?xml version="1.0" encoding="utf-8"?>
<sst xmlns="http://schemas.openxmlformats.org/spreadsheetml/2006/main" count="136" uniqueCount="131">
  <si>
    <t>PUESTO</t>
  </si>
  <si>
    <t>BÁSICO</t>
  </si>
  <si>
    <t>CAPACITACIÓN</t>
  </si>
  <si>
    <t>RECIBO DE HABERES</t>
  </si>
  <si>
    <t>CONTROLADOR</t>
  </si>
  <si>
    <t>LEY 17250/20.744</t>
  </si>
  <si>
    <t>ENCARGADO DE CONTROL</t>
  </si>
  <si>
    <t>JEFE DE CONTROL</t>
  </si>
  <si>
    <t>Recibo Común realizado según Convenio Colectivo de Trabajo 717/2015</t>
  </si>
  <si>
    <t>LEGAJO Nº</t>
  </si>
  <si>
    <t>Escala salarial vigente a partir del 14 de ABRIL de 2016</t>
  </si>
  <si>
    <t>APELLIDO Y NOMBRE DEL EMPLEADOR</t>
  </si>
  <si>
    <t>C.U.I.T.</t>
  </si>
  <si>
    <t>DOMICILIO DEL ESTABLECIMIENTO</t>
  </si>
  <si>
    <t>LOCALIDAD</t>
  </si>
  <si>
    <t xml:space="preserve">ANDRES HORACIO EXPOSITO </t>
  </si>
  <si>
    <t>20-11934516-3</t>
  </si>
  <si>
    <t>JUNIN N°2195</t>
  </si>
  <si>
    <t>SAN FERNANDO</t>
  </si>
  <si>
    <t>ORIGINAL</t>
  </si>
  <si>
    <t>APELLIDO Y NOMBRES DEL EMPLEADO</t>
  </si>
  <si>
    <t>C.U.I.L.</t>
  </si>
  <si>
    <t>FECHA DE INGRESO</t>
  </si>
  <si>
    <t>FECHA EGRESO</t>
  </si>
  <si>
    <t>DUPLICADO</t>
  </si>
  <si>
    <t>ASCONA VANESA NOEMI</t>
  </si>
  <si>
    <t>23-26478014-4</t>
  </si>
  <si>
    <t>01/02/2016</t>
  </si>
  <si>
    <t>CATEGORIA</t>
  </si>
  <si>
    <t>TAREA</t>
  </si>
  <si>
    <t>PERIODO DE PAGO</t>
  </si>
  <si>
    <t>LUGAR Y FECHA DE PAGO</t>
  </si>
  <si>
    <t>CONTROL Y ADMISIÓN</t>
  </si>
  <si>
    <t>ULTIMO DEPOSITO DE LAS CONTRIBUCIONES Y APORTES</t>
  </si>
  <si>
    <t>SUELDO / JORNAL</t>
  </si>
  <si>
    <t>O. SOCIAL</t>
  </si>
  <si>
    <t>FECHA</t>
  </si>
  <si>
    <t>PERIODO</t>
  </si>
  <si>
    <t>BANCO</t>
  </si>
  <si>
    <t>O.S.P.R.E.R.A.</t>
  </si>
  <si>
    <t>de la Nación Argentina</t>
  </si>
  <si>
    <t>Numero a Desglosar</t>
  </si>
  <si>
    <t>Millon</t>
  </si>
  <si>
    <t>Mil</t>
  </si>
  <si>
    <t>C</t>
  </si>
  <si>
    <t>D</t>
  </si>
  <si>
    <t>U</t>
  </si>
  <si>
    <t>0/100</t>
  </si>
  <si>
    <t>CONCEPTO</t>
  </si>
  <si>
    <t>UNID.</t>
  </si>
  <si>
    <t>HABERES</t>
  </si>
  <si>
    <t>RETENCIONES</t>
  </si>
  <si>
    <t>ASIGNACIONES</t>
  </si>
  <si>
    <t>DEDUCCIONES</t>
  </si>
  <si>
    <t>NO REMUNERATIVO</t>
  </si>
  <si>
    <t>CML</t>
  </si>
  <si>
    <t>DML</t>
  </si>
  <si>
    <t>UML</t>
  </si>
  <si>
    <t>CM</t>
  </si>
  <si>
    <t>DM</t>
  </si>
  <si>
    <t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</si>
  <si>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</si>
  <si>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</si>
  <si>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</si>
  <si>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</si>
  <si>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</si>
  <si>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</si>
  <si>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DOS MIL </t>
  </si>
  <si>
    <t xml:space="preserve">DOSCIENTOS </t>
  </si>
  <si>
    <t xml:space="preserve">VEINTE </t>
  </si>
  <si>
    <t>VEINTI</t>
  </si>
  <si>
    <t xml:space="preserve">DOCE </t>
  </si>
  <si>
    <t xml:space="preserve">DOS </t>
  </si>
  <si>
    <t>DÍAS TRABAJADOS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</si>
  <si>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</si>
  <si>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</si>
  <si>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</si>
  <si>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</si>
  <si>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</si>
  <si>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</si>
  <si>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</si>
  <si>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</si>
  <si>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</si>
  <si>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</si>
  <si>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</si>
  <si>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</si>
  <si>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</si>
  <si>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>PRESENTISMO (10% mensual)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</si>
  <si>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</si>
  <si>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</si>
  <si>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</si>
  <si>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</si>
  <si>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</si>
  <si>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</si>
  <si>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>ADICIONAL CAPACITACIÓN</t>
  </si>
  <si>
    <t>HORAS EXTRAS NOCTURNAS 50%</t>
  </si>
  <si>
    <t>HORAS EXTRAS NOCTURNAS 100%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</si>
  <si>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</si>
  <si>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</si>
  <si>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</si>
  <si>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</si>
  <si>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</si>
  <si>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</si>
  <si>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</si>
  <si>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</si>
  <si>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</si>
  <si>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</si>
  <si>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</si>
  <si>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</si>
  <si>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</si>
  <si>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</si>
  <si>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</si>
  <si>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</si>
  <si>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</si>
  <si>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</si>
  <si>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</si>
  <si>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</si>
  <si>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</si>
  <si>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</si>
  <si>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</si>
  <si>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</si>
  <si>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</si>
  <si>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</si>
  <si>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</si>
  <si>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>CUOTA SINDICAL</t>
  </si>
  <si>
    <t>Redondeo</t>
  </si>
  <si>
    <t>TOTAL</t>
  </si>
  <si>
    <t xml:space="preserve">NETO A </t>
  </si>
  <si>
    <t>BRUTO</t>
  </si>
  <si>
    <t>PERCIBIR</t>
  </si>
  <si>
    <t>SON PESOS: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</si>
</sst>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%"/>
    <numFmt numFmtId="167" formatCode="@"/>
    <numFmt numFmtId="168" formatCode="DD/MM/YYYY"/>
    <numFmt numFmtId="169" formatCode="MM/YY"/>
    <numFmt numFmtId="170" formatCode="DD\-MMM&quot; de &quot;YYYY"/>
    <numFmt numFmtId="171" formatCode="0"/>
    <numFmt numFmtId="172" formatCode="0.000"/>
    <numFmt numFmtId="173" formatCode="0.00000"/>
    <numFmt numFmtId="174" formatCode="0.0%"/>
    <numFmt numFmtId="175" formatCode=";;;"/>
    <numFmt numFmtId="176" formatCode="0.00_);[RED]\(0.00\)"/>
    <numFmt numFmtId="177" formatCode="#,##0.00"/>
  </numFmts>
  <fonts count="17">
    <font>
      <sz val="10"/>
      <name val="Arial"/>
      <family val="2"/>
    </font>
    <font>
      <sz val="10"/>
      <color indexed="9"/>
      <name val="Arial"/>
      <family val="2"/>
    </font>
    <font>
      <b/>
      <sz val="13"/>
      <name val="Bookman Old Style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color indexed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19" applyFont="1" applyFill="1" applyBorder="1" applyAlignment="1" applyProtection="1">
      <alignment/>
      <protection/>
    </xf>
    <xf numFmtId="164" fontId="5" fillId="2" borderId="3" xfId="0" applyFont="1" applyFill="1" applyBorder="1" applyAlignment="1">
      <alignment horizontal="right"/>
    </xf>
    <xf numFmtId="164" fontId="0" fillId="0" borderId="0" xfId="0" applyBorder="1" applyAlignment="1">
      <alignment/>
    </xf>
    <xf numFmtId="164" fontId="5" fillId="2" borderId="0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 vertical="top" wrapText="1"/>
    </xf>
    <xf numFmtId="164" fontId="0" fillId="2" borderId="5" xfId="0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 vertical="top"/>
    </xf>
    <xf numFmtId="164" fontId="0" fillId="0" borderId="8" xfId="0" applyBorder="1" applyAlignment="1">
      <alignment horizontal="center" vertical="center"/>
    </xf>
    <xf numFmtId="164" fontId="4" fillId="3" borderId="9" xfId="0" applyFont="1" applyFill="1" applyBorder="1" applyAlignment="1">
      <alignment horizontal="center"/>
    </xf>
    <xf numFmtId="164" fontId="4" fillId="3" borderId="10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" fillId="0" borderId="0" xfId="0" applyFont="1" applyFill="1" applyAlignment="1">
      <alignment vertical="center"/>
    </xf>
    <xf numFmtId="167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/>
    </xf>
    <xf numFmtId="164" fontId="4" fillId="3" borderId="13" xfId="0" applyFont="1" applyFill="1" applyBorder="1" applyAlignment="1">
      <alignment horizontal="center"/>
    </xf>
    <xf numFmtId="164" fontId="4" fillId="3" borderId="14" xfId="0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3" borderId="12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13" xfId="0" applyFont="1" applyBorder="1" applyAlignment="1">
      <alignment horizontal="center" vertical="center" wrapText="1"/>
    </xf>
    <xf numFmtId="169" fontId="0" fillId="0" borderId="13" xfId="0" applyNumberFormat="1" applyBorder="1" applyAlignment="1">
      <alignment horizontal="center" vertical="center"/>
    </xf>
    <xf numFmtId="170" fontId="0" fillId="0" borderId="15" xfId="0" applyNumberFormat="1" applyBorder="1" applyAlignment="1">
      <alignment horizontal="left" vertical="center"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8" fillId="0" borderId="16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5" fontId="0" fillId="0" borderId="18" xfId="0" applyNumberFormat="1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8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3" xfId="0" applyBorder="1" applyAlignment="1">
      <alignment horizontal="right"/>
    </xf>
    <xf numFmtId="164" fontId="0" fillId="0" borderId="0" xfId="0" applyBorder="1" applyAlignment="1">
      <alignment/>
    </xf>
    <xf numFmtId="164" fontId="0" fillId="0" borderId="24" xfId="0" applyBorder="1" applyAlignment="1">
      <alignment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11" fillId="3" borderId="25" xfId="0" applyFont="1" applyFill="1" applyBorder="1" applyAlignment="1">
      <alignment horizontal="center"/>
    </xf>
    <xf numFmtId="164" fontId="11" fillId="3" borderId="26" xfId="0" applyFont="1" applyFill="1" applyBorder="1" applyAlignment="1">
      <alignment horizontal="center"/>
    </xf>
    <xf numFmtId="164" fontId="11" fillId="3" borderId="27" xfId="0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/>
    </xf>
    <xf numFmtId="171" fontId="1" fillId="0" borderId="0" xfId="0" applyNumberFormat="1" applyFont="1" applyBorder="1" applyAlignment="1">
      <alignment horizontal="center" vertical="center"/>
    </xf>
    <xf numFmtId="164" fontId="0" fillId="0" borderId="28" xfId="0" applyBorder="1" applyAlignment="1">
      <alignment/>
    </xf>
    <xf numFmtId="164" fontId="0" fillId="0" borderId="29" xfId="0" applyBorder="1" applyAlignment="1">
      <alignment horizontal="left"/>
    </xf>
    <xf numFmtId="164" fontId="0" fillId="0" borderId="30" xfId="0" applyBorder="1" applyAlignment="1">
      <alignment horizontal="center"/>
    </xf>
    <xf numFmtId="165" fontId="0" fillId="0" borderId="30" xfId="0" applyNumberFormat="1" applyBorder="1" applyAlignment="1">
      <alignment horizontal="right"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4" fontId="0" fillId="0" borderId="28" xfId="0" applyBorder="1" applyAlignment="1" applyProtection="1">
      <alignment/>
      <protection locked="0"/>
    </xf>
    <xf numFmtId="164" fontId="0" fillId="0" borderId="30" xfId="0" applyFont="1" applyBorder="1" applyAlignment="1">
      <alignment horizontal="left"/>
    </xf>
    <xf numFmtId="164" fontId="0" fillId="0" borderId="30" xfId="0" applyFill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right"/>
    </xf>
    <xf numFmtId="172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 vertical="center"/>
    </xf>
    <xf numFmtId="171" fontId="0" fillId="0" borderId="30" xfId="0" applyNumberFormat="1" applyBorder="1" applyAlignment="1">
      <alignment horizontal="center"/>
    </xf>
    <xf numFmtId="166" fontId="0" fillId="0" borderId="30" xfId="19" applyFont="1" applyFill="1" applyBorder="1" applyAlignment="1" applyProtection="1">
      <alignment horizontal="center"/>
      <protection/>
    </xf>
    <xf numFmtId="164" fontId="0" fillId="4" borderId="30" xfId="0" applyFill="1" applyBorder="1" applyAlignment="1">
      <alignment horizontal="center"/>
    </xf>
    <xf numFmtId="173" fontId="0" fillId="0" borderId="0" xfId="0" applyNumberFormat="1" applyAlignment="1">
      <alignment/>
    </xf>
    <xf numFmtId="174" fontId="0" fillId="0" borderId="30" xfId="19" applyNumberFormat="1" applyFont="1" applyFill="1" applyBorder="1" applyAlignment="1" applyProtection="1">
      <alignment horizontal="center"/>
      <protection/>
    </xf>
    <xf numFmtId="165" fontId="0" fillId="0" borderId="32" xfId="0" applyNumberFormat="1" applyBorder="1" applyAlignment="1">
      <alignment horizontal="right"/>
    </xf>
    <xf numFmtId="175" fontId="0" fillId="0" borderId="31" xfId="0" applyNumberFormat="1" applyBorder="1" applyAlignment="1">
      <alignment horizontal="center"/>
    </xf>
    <xf numFmtId="176" fontId="0" fillId="0" borderId="30" xfId="0" applyNumberFormat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right"/>
    </xf>
    <xf numFmtId="165" fontId="0" fillId="0" borderId="31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4" fontId="7" fillId="0" borderId="0" xfId="0" applyFont="1" applyBorder="1" applyAlignment="1">
      <alignment horizontal="left"/>
    </xf>
    <xf numFmtId="164" fontId="4" fillId="0" borderId="16" xfId="0" applyFont="1" applyBorder="1" applyAlignment="1">
      <alignment horizontal="left"/>
    </xf>
    <xf numFmtId="177" fontId="12" fillId="0" borderId="18" xfId="0" applyNumberFormat="1" applyFont="1" applyBorder="1" applyAlignment="1">
      <alignment horizontal="center" vertical="center"/>
    </xf>
    <xf numFmtId="164" fontId="4" fillId="0" borderId="17" xfId="0" applyFont="1" applyBorder="1" applyAlignment="1">
      <alignment horizontal="left"/>
    </xf>
    <xf numFmtId="164" fontId="4" fillId="0" borderId="17" xfId="0" applyFont="1" applyBorder="1" applyAlignment="1">
      <alignment horizontal="center"/>
    </xf>
    <xf numFmtId="177" fontId="12" fillId="0" borderId="19" xfId="0" applyNumberFormat="1" applyFont="1" applyBorder="1" applyAlignment="1" applyProtection="1">
      <alignment horizontal="center" vertical="center"/>
      <protection hidden="1"/>
    </xf>
    <xf numFmtId="164" fontId="4" fillId="0" borderId="20" xfId="0" applyFont="1" applyBorder="1" applyAlignment="1">
      <alignment horizontal="left"/>
    </xf>
    <xf numFmtId="164" fontId="4" fillId="0" borderId="21" xfId="0" applyFont="1" applyBorder="1" applyAlignment="1">
      <alignment horizontal="left"/>
    </xf>
    <xf numFmtId="164" fontId="4" fillId="0" borderId="21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Border="1" applyAlignment="1">
      <alignment horizontal="right"/>
    </xf>
    <xf numFmtId="164" fontId="0" fillId="0" borderId="4" xfId="0" applyBorder="1" applyAlignment="1">
      <alignment/>
    </xf>
    <xf numFmtId="164" fontId="4" fillId="0" borderId="1" xfId="0" applyFont="1" applyBorder="1" applyAlignment="1">
      <alignment/>
    </xf>
    <xf numFmtId="164" fontId="0" fillId="0" borderId="33" xfId="0" applyBorder="1" applyAlignment="1">
      <alignment/>
    </xf>
    <xf numFmtId="164" fontId="0" fillId="0" borderId="33" xfId="0" applyBorder="1" applyAlignment="1">
      <alignment horizontal="right"/>
    </xf>
    <xf numFmtId="164" fontId="0" fillId="0" borderId="2" xfId="0" applyBorder="1" applyAlignment="1">
      <alignment/>
    </xf>
    <xf numFmtId="164" fontId="4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4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7" fillId="0" borderId="0" xfId="0" applyFont="1" applyBorder="1" applyAlignment="1">
      <alignment/>
    </xf>
    <xf numFmtId="164" fontId="4" fillId="0" borderId="34" xfId="0" applyFont="1" applyBorder="1" applyAlignment="1">
      <alignment horizontal="center"/>
    </xf>
    <xf numFmtId="164" fontId="4" fillId="0" borderId="35" xfId="0" applyFont="1" applyBorder="1" applyAlignment="1">
      <alignment/>
    </xf>
    <xf numFmtId="164" fontId="4" fillId="0" borderId="35" xfId="0" applyFont="1" applyBorder="1" applyAlignment="1">
      <alignment horizontal="right"/>
    </xf>
    <xf numFmtId="164" fontId="4" fillId="0" borderId="3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4</xdr:col>
      <xdr:colOff>447675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36004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8"/>
  <sheetViews>
    <sheetView showGridLines="0" tabSelected="1" workbookViewId="0" topLeftCell="A11">
      <selection activeCell="G14" sqref="G14"/>
    </sheetView>
  </sheetViews>
  <sheetFormatPr defaultColWidth="11.421875" defaultRowHeight="12.75"/>
  <cols>
    <col min="1" max="1" width="4.7109375" style="0" customWidth="1"/>
    <col min="2" max="2" width="9.7109375" style="0" customWidth="1"/>
    <col min="3" max="3" width="23.8515625" style="0" customWidth="1"/>
    <col min="4" max="4" width="10.140625" style="0" customWidth="1"/>
    <col min="5" max="5" width="15.421875" style="1" customWidth="1"/>
    <col min="6" max="6" width="14.7109375" style="0" customWidth="1"/>
    <col min="7" max="7" width="17.7109375" style="0" customWidth="1"/>
    <col min="8" max="8" width="15.7109375" style="0" customWidth="1"/>
    <col min="9" max="9" width="20.421875" style="0" customWidth="1"/>
    <col min="10" max="10" width="16.57421875" style="0" customWidth="1"/>
    <col min="12" max="12" width="19.00390625" style="2" customWidth="1"/>
    <col min="13" max="13" width="19.421875" style="3" customWidth="1"/>
    <col min="14" max="14" width="5.7109375" style="4" customWidth="1"/>
    <col min="15" max="18" width="5.57421875" style="3" customWidth="1"/>
    <col min="19" max="21" width="4.7109375" style="4" customWidth="1"/>
    <col min="22" max="23" width="4.7109375" style="3" customWidth="1"/>
    <col min="24" max="24" width="2.00390625" style="3" customWidth="1"/>
    <col min="25" max="25" width="12.7109375" style="3" customWidth="1"/>
    <col min="26" max="26" width="6.421875" style="3" customWidth="1"/>
    <col min="27" max="27" width="17.28125" style="3" customWidth="1"/>
    <col min="28" max="28" width="12.00390625" style="3" customWidth="1"/>
    <col min="29" max="29" width="13.8515625" style="3" customWidth="1"/>
    <col min="30" max="30" width="13.7109375" style="3" customWidth="1"/>
    <col min="31" max="32" width="9.140625" style="3" customWidth="1"/>
    <col min="33" max="33" width="11.421875" style="5" customWidth="1"/>
    <col min="64" max="64" width="25.57421875" style="0" customWidth="1"/>
    <col min="65" max="65" width="11.57421875" style="0" customWidth="1"/>
    <col min="66" max="66" width="14.57421875" style="0" customWidth="1"/>
  </cols>
  <sheetData>
    <row r="1" spans="1:66" ht="21" customHeight="1">
      <c r="A1" s="6"/>
      <c r="B1" s="6"/>
      <c r="C1" s="6"/>
      <c r="D1" s="6"/>
      <c r="E1" s="6"/>
      <c r="F1" s="6"/>
      <c r="G1" s="6"/>
      <c r="H1" s="6"/>
      <c r="I1" s="7"/>
      <c r="L1" s="5"/>
      <c r="M1" s="4"/>
      <c r="O1" s="4"/>
      <c r="S1" s="3"/>
      <c r="T1" s="3"/>
      <c r="U1" s="3"/>
      <c r="BL1" t="s">
        <v>0</v>
      </c>
      <c r="BM1" t="s">
        <v>1</v>
      </c>
      <c r="BN1" t="s">
        <v>2</v>
      </c>
    </row>
    <row r="2" spans="1:66" ht="21" customHeight="1">
      <c r="A2" s="8"/>
      <c r="B2" s="9"/>
      <c r="C2" s="9"/>
      <c r="D2" s="9"/>
      <c r="E2" s="9"/>
      <c r="F2" s="9"/>
      <c r="G2" s="9"/>
      <c r="H2" s="9"/>
      <c r="I2" s="10" t="s">
        <v>3</v>
      </c>
      <c r="L2" s="5"/>
      <c r="M2" s="4"/>
      <c r="O2" s="4"/>
      <c r="S2" s="3"/>
      <c r="T2" s="3"/>
      <c r="U2" s="3"/>
      <c r="BL2" t="s">
        <v>4</v>
      </c>
      <c r="BM2" s="11">
        <f>3000/22*1.25</f>
        <v>170.45454545454547</v>
      </c>
      <c r="BN2" s="12">
        <v>0</v>
      </c>
    </row>
    <row r="3" spans="1:66" ht="21" customHeight="1">
      <c r="A3" s="13"/>
      <c r="B3" s="14"/>
      <c r="C3" s="14"/>
      <c r="D3" s="14"/>
      <c r="E3" s="14"/>
      <c r="F3" s="15"/>
      <c r="G3" s="15"/>
      <c r="H3" s="15"/>
      <c r="I3" s="10" t="s">
        <v>5</v>
      </c>
      <c r="L3" s="5"/>
      <c r="M3" s="4"/>
      <c r="O3" s="4"/>
      <c r="S3" s="3"/>
      <c r="T3" s="3"/>
      <c r="U3" s="3"/>
      <c r="BL3" t="s">
        <v>6</v>
      </c>
      <c r="BM3" s="11">
        <f>3300/22*1.25</f>
        <v>187.5</v>
      </c>
      <c r="BN3" s="12">
        <v>0.1</v>
      </c>
    </row>
    <row r="4" spans="1:66" ht="26.25" customHeight="1">
      <c r="A4" s="16"/>
      <c r="B4" s="16"/>
      <c r="C4" s="16"/>
      <c r="D4" s="16"/>
      <c r="E4" s="16"/>
      <c r="F4" s="16"/>
      <c r="G4" s="16"/>
      <c r="H4" s="16"/>
      <c r="I4" s="17"/>
      <c r="L4" s="5"/>
      <c r="M4" s="4"/>
      <c r="O4" s="4"/>
      <c r="S4" s="3"/>
      <c r="T4" s="3"/>
      <c r="U4" s="3"/>
      <c r="BL4" t="s">
        <v>7</v>
      </c>
      <c r="BM4" s="11">
        <f>3630/22*1.25</f>
        <v>206.25</v>
      </c>
      <c r="BN4" s="12">
        <v>0.2</v>
      </c>
    </row>
    <row r="5" spans="1:21" ht="16.5" customHeight="1">
      <c r="A5" s="18" t="s">
        <v>8</v>
      </c>
      <c r="B5" s="18"/>
      <c r="C5" s="18"/>
      <c r="D5" s="18"/>
      <c r="E5" s="18"/>
      <c r="F5" s="18"/>
      <c r="G5" s="18"/>
      <c r="H5" s="18"/>
      <c r="I5" s="19" t="s">
        <v>9</v>
      </c>
      <c r="L5" s="5"/>
      <c r="M5" s="4"/>
      <c r="O5" s="4"/>
      <c r="S5" s="3"/>
      <c r="T5" s="3"/>
      <c r="U5" s="3"/>
    </row>
    <row r="6" spans="1:21" ht="17.25" customHeight="1">
      <c r="A6" s="20" t="s">
        <v>10</v>
      </c>
      <c r="B6" s="20"/>
      <c r="C6" s="20"/>
      <c r="D6" s="20"/>
      <c r="E6" s="20"/>
      <c r="F6" s="20"/>
      <c r="G6" s="20"/>
      <c r="H6" s="20"/>
      <c r="I6" s="21">
        <v>1</v>
      </c>
      <c r="L6" s="5"/>
      <c r="M6" s="4"/>
      <c r="O6" s="4"/>
      <c r="S6" s="3"/>
      <c r="T6" s="3"/>
      <c r="U6" s="3"/>
    </row>
    <row r="7" spans="1:33" s="25" customFormat="1" ht="12.75" customHeight="1">
      <c r="A7" s="22" t="s">
        <v>11</v>
      </c>
      <c r="B7" s="22"/>
      <c r="C7" s="22"/>
      <c r="D7" s="22"/>
      <c r="E7" s="22"/>
      <c r="F7" s="23" t="s">
        <v>12</v>
      </c>
      <c r="G7" s="24" t="s">
        <v>13</v>
      </c>
      <c r="H7" s="24"/>
      <c r="I7" s="19" t="s">
        <v>14</v>
      </c>
      <c r="J7"/>
      <c r="L7" s="26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6"/>
    </row>
    <row r="8" spans="1:64" s="30" customFormat="1" ht="27" customHeight="1">
      <c r="A8" s="27" t="s">
        <v>15</v>
      </c>
      <c r="B8" s="27"/>
      <c r="C8" s="27"/>
      <c r="D8" s="27"/>
      <c r="E8" s="27"/>
      <c r="F8" s="28" t="s">
        <v>16</v>
      </c>
      <c r="G8" s="29" t="s">
        <v>17</v>
      </c>
      <c r="H8" s="29"/>
      <c r="I8" s="21" t="s">
        <v>18</v>
      </c>
      <c r="K8" s="31">
        <f>MID(G10,1,2)</f>
        <v>0</v>
      </c>
      <c r="L8" s="32">
        <f>+G10-K8+1</f>
        <v>42401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3"/>
      <c r="BL8" s="30" t="s">
        <v>19</v>
      </c>
    </row>
    <row r="9" spans="1:64" ht="12.75" customHeight="1">
      <c r="A9" s="22" t="s">
        <v>20</v>
      </c>
      <c r="B9" s="22"/>
      <c r="C9" s="22"/>
      <c r="D9" s="22"/>
      <c r="E9" s="22"/>
      <c r="F9" s="23" t="s">
        <v>21</v>
      </c>
      <c r="G9" s="34" t="s">
        <v>22</v>
      </c>
      <c r="H9" s="34"/>
      <c r="I9" s="35" t="s">
        <v>23</v>
      </c>
      <c r="L9" s="5"/>
      <c r="N9" s="3"/>
      <c r="S9" s="3"/>
      <c r="T9" s="3"/>
      <c r="U9" s="3"/>
      <c r="BL9" t="s">
        <v>24</v>
      </c>
    </row>
    <row r="10" spans="1:33" s="38" customFormat="1" ht="29.25" customHeight="1">
      <c r="A10" s="27" t="s">
        <v>25</v>
      </c>
      <c r="B10" s="27"/>
      <c r="C10" s="27"/>
      <c r="D10" s="27"/>
      <c r="E10" s="27"/>
      <c r="F10" s="28" t="s">
        <v>26</v>
      </c>
      <c r="G10" s="36" t="s">
        <v>27</v>
      </c>
      <c r="H10" s="36"/>
      <c r="I10" s="37"/>
      <c r="L10" s="3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9"/>
    </row>
    <row r="11" spans="1:33" s="41" customFormat="1" ht="12.75" customHeight="1">
      <c r="A11" s="40" t="s">
        <v>28</v>
      </c>
      <c r="B11" s="40"/>
      <c r="C11" s="40"/>
      <c r="D11" s="34" t="s">
        <v>29</v>
      </c>
      <c r="E11" s="34"/>
      <c r="F11" s="34" t="s">
        <v>30</v>
      </c>
      <c r="G11" s="34"/>
      <c r="H11" s="35" t="s">
        <v>31</v>
      </c>
      <c r="I11" s="35"/>
      <c r="L11" s="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2"/>
    </row>
    <row r="12" spans="1:32" ht="12.75" customHeight="1">
      <c r="A12" s="27" t="s">
        <v>4</v>
      </c>
      <c r="B12" s="27"/>
      <c r="C12" s="27"/>
      <c r="D12" s="43" t="s">
        <v>32</v>
      </c>
      <c r="E12" s="43"/>
      <c r="F12" s="44">
        <v>42856</v>
      </c>
      <c r="G12" s="44"/>
      <c r="H12" s="21" t="s">
        <v>18</v>
      </c>
      <c r="I12" s="45">
        <f>+F12+34</f>
        <v>42890</v>
      </c>
      <c r="L12" s="5"/>
      <c r="N12" s="3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ht="12.75" customHeight="1">
      <c r="A13" s="40" t="s">
        <v>33</v>
      </c>
      <c r="B13" s="40"/>
      <c r="C13" s="40"/>
      <c r="D13" s="40"/>
      <c r="E13" s="40"/>
      <c r="F13" s="40"/>
      <c r="G13" s="34" t="s">
        <v>34</v>
      </c>
      <c r="H13" s="34"/>
      <c r="I13" s="35" t="s">
        <v>35</v>
      </c>
      <c r="L13" s="5"/>
      <c r="N13" s="3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21" ht="12.75" customHeight="1">
      <c r="A14" s="48" t="s">
        <v>36</v>
      </c>
      <c r="B14" s="48"/>
      <c r="C14" s="49" t="s">
        <v>37</v>
      </c>
      <c r="D14" s="49" t="s">
        <v>38</v>
      </c>
      <c r="E14" s="49"/>
      <c r="F14" s="49"/>
      <c r="G14" s="50">
        <v>635</v>
      </c>
      <c r="H14" s="50"/>
      <c r="I14" s="51" t="s">
        <v>39</v>
      </c>
      <c r="L14" s="5"/>
      <c r="N14" s="3"/>
      <c r="S14" s="3"/>
      <c r="T14" s="3"/>
      <c r="U14" s="3"/>
    </row>
    <row r="15" spans="1:33" s="55" customFormat="1" ht="12.75" customHeight="1">
      <c r="A15" s="52">
        <f>+F12+9</f>
        <v>42865</v>
      </c>
      <c r="B15" s="52"/>
      <c r="C15" s="53">
        <f>+A15-30</f>
        <v>42835</v>
      </c>
      <c r="D15" s="54" t="s">
        <v>40</v>
      </c>
      <c r="E15" s="54"/>
      <c r="F15" s="54"/>
      <c r="G15" s="50"/>
      <c r="H15" s="50"/>
      <c r="I15" s="51"/>
      <c r="L15" s="56"/>
      <c r="M15" s="3"/>
      <c r="N15" s="3"/>
      <c r="O15" s="3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6"/>
    </row>
    <row r="16" spans="1:32" ht="12.75" customHeight="1">
      <c r="A16" s="58"/>
      <c r="B16" s="59"/>
      <c r="C16" s="59"/>
      <c r="D16" s="59"/>
      <c r="E16" s="60"/>
      <c r="F16" s="59"/>
      <c r="G16" s="61"/>
      <c r="H16" s="59"/>
      <c r="I16" s="62"/>
      <c r="L16" s="5"/>
      <c r="M16" s="63" t="s">
        <v>41</v>
      </c>
      <c r="N16" s="64" t="s">
        <v>42</v>
      </c>
      <c r="O16" s="64"/>
      <c r="P16" s="64"/>
      <c r="Q16" s="64" t="s">
        <v>43</v>
      </c>
      <c r="R16" s="64"/>
      <c r="S16" s="64"/>
      <c r="T16" s="64" t="s">
        <v>44</v>
      </c>
      <c r="U16" s="64" t="s">
        <v>45</v>
      </c>
      <c r="V16" s="64" t="s">
        <v>46</v>
      </c>
      <c r="W16" s="64" t="s">
        <v>47</v>
      </c>
      <c r="X16" s="57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</row>
    <row r="17" spans="1:32" ht="12.75" customHeight="1">
      <c r="A17" s="65" t="s">
        <v>48</v>
      </c>
      <c r="B17" s="65"/>
      <c r="C17" s="65"/>
      <c r="D17" s="66" t="s">
        <v>49</v>
      </c>
      <c r="E17" s="66" t="s">
        <v>50</v>
      </c>
      <c r="F17" s="66" t="s">
        <v>51</v>
      </c>
      <c r="G17" s="66" t="s">
        <v>52</v>
      </c>
      <c r="H17" s="66" t="s">
        <v>53</v>
      </c>
      <c r="I17" s="67" t="s">
        <v>54</v>
      </c>
      <c r="L17" s="5"/>
      <c r="M17" s="63"/>
      <c r="N17" s="64" t="s">
        <v>55</v>
      </c>
      <c r="O17" s="64" t="s">
        <v>56</v>
      </c>
      <c r="P17" s="64" t="s">
        <v>57</v>
      </c>
      <c r="Q17" s="64" t="s">
        <v>58</v>
      </c>
      <c r="R17" s="64" t="s">
        <v>59</v>
      </c>
      <c r="S17" s="64" t="s">
        <v>60</v>
      </c>
      <c r="T17" s="64"/>
      <c r="U17" s="64"/>
      <c r="V17" s="64"/>
      <c r="W17" s="64"/>
      <c r="X17" s="57">
        <v>1</v>
      </c>
      <c r="Y17" s="68" t="s">
        <v>61</v>
      </c>
      <c r="Z17" s="68" t="s">
        <v>62</v>
      </c>
      <c r="AA17" s="68" t="s">
        <v>63</v>
      </c>
      <c r="AB17" s="68" t="s">
        <v>64</v>
      </c>
      <c r="AC17" s="64">
        <v>0</v>
      </c>
      <c r="AD17" s="68" t="s">
        <v>65</v>
      </c>
      <c r="AE17" s="68" t="s">
        <v>66</v>
      </c>
      <c r="AF17" s="69">
        <f>INT(W18)</f>
        <v>0</v>
      </c>
    </row>
    <row r="18" spans="1:32" ht="12.75" customHeight="1">
      <c r="A18" s="70"/>
      <c r="B18" s="71"/>
      <c r="C18" s="71"/>
      <c r="D18" s="72"/>
      <c r="E18" s="73"/>
      <c r="F18" s="74"/>
      <c r="G18" s="74"/>
      <c r="H18" s="74"/>
      <c r="I18" s="75"/>
      <c r="L18" s="5"/>
      <c r="M18" s="63"/>
      <c r="N18" s="57">
        <f>INT(M19/100000000)</f>
        <v>0</v>
      </c>
      <c r="O18" s="57">
        <f>INT(N19/10000000)</f>
        <v>0</v>
      </c>
      <c r="P18" s="57">
        <f>INT(O19/1000000)</f>
        <v>0</v>
      </c>
      <c r="Q18" s="57">
        <f>INT(P19/100000)</f>
        <v>0</v>
      </c>
      <c r="R18" s="57">
        <f>INT(Q19/10000)</f>
        <v>0</v>
      </c>
      <c r="S18" s="57">
        <f>INT(R19/1000)</f>
        <v>0</v>
      </c>
      <c r="T18" s="57">
        <f>INT(S19/100)</f>
        <v>5</v>
      </c>
      <c r="U18" s="57">
        <f>INT(T19/10)</f>
        <v>6</v>
      </c>
      <c r="V18" s="57">
        <f>INT(U19/1)</f>
        <v>1</v>
      </c>
      <c r="W18" s="69">
        <f>V19*100</f>
        <v>0</v>
      </c>
      <c r="X18" s="57">
        <v>2</v>
      </c>
      <c r="Y18" s="68" t="s">
        <v>67</v>
      </c>
      <c r="Z18" s="64">
        <v>0</v>
      </c>
      <c r="AA18" s="68" t="s">
        <v>68</v>
      </c>
      <c r="AB18" s="68" t="s">
        <v>69</v>
      </c>
      <c r="AC18" s="68" t="s">
        <v>70</v>
      </c>
      <c r="AD18" s="68" t="s">
        <v>71</v>
      </c>
      <c r="AE18" s="68" t="s">
        <v>72</v>
      </c>
      <c r="AF18" s="57"/>
    </row>
    <row r="19" spans="1:32" ht="12.75" customHeight="1">
      <c r="A19" s="76"/>
      <c r="B19" s="77" t="s">
        <v>73</v>
      </c>
      <c r="C19" s="77"/>
      <c r="D19" s="78">
        <v>1</v>
      </c>
      <c r="E19" s="79">
        <f>+D19*G14</f>
        <v>635</v>
      </c>
      <c r="F19" s="79"/>
      <c r="G19" s="73"/>
      <c r="H19" s="73"/>
      <c r="I19" s="80"/>
      <c r="K19" s="81"/>
      <c r="L19" s="5"/>
      <c r="M19" s="82">
        <f>+I32</f>
        <v>561</v>
      </c>
      <c r="N19" s="57">
        <f>M19-(N18*100000000)</f>
        <v>561</v>
      </c>
      <c r="O19" s="57">
        <f>N19-(O18*10000000)</f>
        <v>561</v>
      </c>
      <c r="P19" s="69">
        <f>O19-(P18*1000000)</f>
        <v>561</v>
      </c>
      <c r="Q19" s="57">
        <f>P19-(Q18*100000)</f>
        <v>561</v>
      </c>
      <c r="R19" s="57">
        <f>Q19-(R18*10000)</f>
        <v>561</v>
      </c>
      <c r="S19" s="57">
        <f>R19-(S18*1000)</f>
        <v>561</v>
      </c>
      <c r="T19" s="57">
        <f>S19-(T18*100)</f>
        <v>61</v>
      </c>
      <c r="U19" s="57">
        <f>T19-(U18*10)</f>
        <v>1</v>
      </c>
      <c r="V19" s="82">
        <f>U19-(V18*1)</f>
        <v>0</v>
      </c>
      <c r="W19" s="57"/>
      <c r="X19" s="57">
        <v>3</v>
      </c>
      <c r="Y19" s="68" t="s">
        <v>74</v>
      </c>
      <c r="Z19" s="64">
        <v>0</v>
      </c>
      <c r="AA19" s="68" t="s">
        <v>75</v>
      </c>
      <c r="AB19" s="68" t="s">
        <v>76</v>
      </c>
      <c r="AC19" s="68" t="s">
        <v>77</v>
      </c>
      <c r="AD19" s="68" t="s">
        <v>78</v>
      </c>
      <c r="AE19" s="68" t="s">
        <v>79</v>
      </c>
      <c r="AF19" s="57"/>
    </row>
    <row r="20" spans="1:32" ht="12.75" customHeight="1">
      <c r="A20" s="76"/>
      <c r="B20" s="77" t="s">
        <v>80</v>
      </c>
      <c r="C20" s="77"/>
      <c r="D20" s="83">
        <f>+ROUNDDOWN(((F12-L8)/365),0)</f>
        <v>1</v>
      </c>
      <c r="E20" s="79">
        <f>+E19*D20/100</f>
        <v>6.35</v>
      </c>
      <c r="F20" s="79"/>
      <c r="G20" s="73"/>
      <c r="H20" s="73"/>
      <c r="I20" s="80"/>
      <c r="L20" s="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>
        <v>4</v>
      </c>
      <c r="Y20" s="68" t="s">
        <v>81</v>
      </c>
      <c r="Z20" s="64">
        <v>0</v>
      </c>
      <c r="AA20" s="68" t="s">
        <v>82</v>
      </c>
      <c r="AB20" s="68" t="s">
        <v>83</v>
      </c>
      <c r="AC20" s="68" t="s">
        <v>84</v>
      </c>
      <c r="AD20" s="68" t="s">
        <v>85</v>
      </c>
      <c r="AE20" s="68" t="s">
        <v>86</v>
      </c>
      <c r="AF20" s="57"/>
    </row>
    <row r="21" spans="1:32" ht="12.75" customHeight="1">
      <c r="A21" s="76"/>
      <c r="B21" s="77" t="s">
        <v>87</v>
      </c>
      <c r="C21" s="77"/>
      <c r="D21" s="78">
        <v>1</v>
      </c>
      <c r="E21" s="79">
        <f>+IF(D21=0,0,(E19+E20)*0.1)</f>
        <v>64.135</v>
      </c>
      <c r="F21" s="79"/>
      <c r="G21" s="73"/>
      <c r="H21" s="73"/>
      <c r="I21" s="80"/>
      <c r="L21" s="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>
        <v>5</v>
      </c>
      <c r="Y21" s="68" t="s">
        <v>88</v>
      </c>
      <c r="Z21" s="64">
        <v>0</v>
      </c>
      <c r="AA21" s="68" t="s">
        <v>89</v>
      </c>
      <c r="AB21" s="68" t="s">
        <v>90</v>
      </c>
      <c r="AC21" s="68" t="s">
        <v>91</v>
      </c>
      <c r="AD21" s="68" t="s">
        <v>92</v>
      </c>
      <c r="AE21" s="68" t="s">
        <v>93</v>
      </c>
      <c r="AF21" s="57"/>
    </row>
    <row r="22" spans="1:32" ht="12.75" customHeight="1">
      <c r="A22" s="76"/>
      <c r="B22" s="77" t="s">
        <v>94</v>
      </c>
      <c r="C22" s="77"/>
      <c r="D22" s="84">
        <v>0</v>
      </c>
      <c r="E22" s="79">
        <f>+E19*D22</f>
        <v>0</v>
      </c>
      <c r="F22" s="79"/>
      <c r="G22" s="73"/>
      <c r="H22" s="73"/>
      <c r="I22" s="80"/>
      <c r="L22" s="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68"/>
      <c r="Z22" s="64"/>
      <c r="AA22" s="68"/>
      <c r="AB22" s="68"/>
      <c r="AC22" s="68"/>
      <c r="AD22" s="68"/>
      <c r="AE22" s="68"/>
      <c r="AF22" s="57"/>
    </row>
    <row r="23" spans="1:32" ht="12.75" customHeight="1">
      <c r="A23" s="76"/>
      <c r="B23" s="77" t="s">
        <v>95</v>
      </c>
      <c r="C23" s="77"/>
      <c r="D23" s="85">
        <v>0</v>
      </c>
      <c r="E23" s="79">
        <f>(E19+E20+E22+E21)/D19/7*D23*1.5</f>
        <v>0</v>
      </c>
      <c r="F23" s="79"/>
      <c r="G23" s="73"/>
      <c r="H23" s="73"/>
      <c r="I23" s="80"/>
      <c r="L23" s="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68"/>
      <c r="Z23" s="64"/>
      <c r="AA23" s="68"/>
      <c r="AB23" s="68"/>
      <c r="AC23" s="68"/>
      <c r="AD23" s="68"/>
      <c r="AE23" s="68"/>
      <c r="AF23" s="57"/>
    </row>
    <row r="24" spans="1:32" ht="12.75" customHeight="1">
      <c r="A24" s="76"/>
      <c r="B24" s="77" t="s">
        <v>96</v>
      </c>
      <c r="C24" s="77"/>
      <c r="D24" s="85">
        <v>0</v>
      </c>
      <c r="E24" s="79">
        <f>(E19+E20+E22+E21)/D19/7*D24*2</f>
        <v>0</v>
      </c>
      <c r="F24" s="79"/>
      <c r="G24" s="73"/>
      <c r="H24" s="73"/>
      <c r="I24" s="80"/>
      <c r="K24" s="86"/>
      <c r="L24" s="5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>
        <v>6</v>
      </c>
      <c r="Y24" s="68" t="s">
        <v>97</v>
      </c>
      <c r="Z24" s="64">
        <v>0</v>
      </c>
      <c r="AA24" s="68" t="s">
        <v>98</v>
      </c>
      <c r="AB24" s="68" t="s">
        <v>99</v>
      </c>
      <c r="AC24" s="68" t="s">
        <v>100</v>
      </c>
      <c r="AD24" s="68" t="s">
        <v>101</v>
      </c>
      <c r="AE24" s="68" t="s">
        <v>102</v>
      </c>
      <c r="AF24" s="57"/>
    </row>
    <row r="25" spans="1:32" ht="12.75" customHeight="1">
      <c r="A25" s="76"/>
      <c r="B25" s="77" t="s">
        <v>103</v>
      </c>
      <c r="C25" s="77"/>
      <c r="D25" s="87">
        <v>0.11</v>
      </c>
      <c r="E25" s="79"/>
      <c r="F25" s="79">
        <f aca="true" t="shared" si="0" ref="F25:F28">$C$32*D25%*100</f>
        <v>77.60335</v>
      </c>
      <c r="G25" s="73"/>
      <c r="H25" s="73"/>
      <c r="I25" s="80"/>
      <c r="L25" s="5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>
        <v>7</v>
      </c>
      <c r="Y25" s="68" t="s">
        <v>104</v>
      </c>
      <c r="Z25" s="64">
        <v>0</v>
      </c>
      <c r="AA25" s="68" t="s">
        <v>105</v>
      </c>
      <c r="AB25" s="68" t="s">
        <v>106</v>
      </c>
      <c r="AC25" s="68" t="s">
        <v>107</v>
      </c>
      <c r="AD25" s="68" t="s">
        <v>108</v>
      </c>
      <c r="AE25" s="68" t="s">
        <v>109</v>
      </c>
      <c r="AF25" s="57"/>
    </row>
    <row r="26" spans="1:32" ht="12.75" customHeight="1">
      <c r="A26" s="76"/>
      <c r="B26" s="77" t="s">
        <v>110</v>
      </c>
      <c r="C26" s="77"/>
      <c r="D26" s="87">
        <v>0.03</v>
      </c>
      <c r="E26" s="79"/>
      <c r="F26" s="79">
        <f t="shared" si="0"/>
        <v>21.16455</v>
      </c>
      <c r="G26" s="73"/>
      <c r="H26" s="73"/>
      <c r="I26" s="80"/>
      <c r="L26" s="5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>
        <v>8</v>
      </c>
      <c r="Y26" s="68" t="s">
        <v>111</v>
      </c>
      <c r="Z26" s="64">
        <v>0</v>
      </c>
      <c r="AA26" s="68" t="s">
        <v>112</v>
      </c>
      <c r="AB26" s="68" t="s">
        <v>113</v>
      </c>
      <c r="AC26" s="68" t="s">
        <v>114</v>
      </c>
      <c r="AD26" s="68" t="s">
        <v>115</v>
      </c>
      <c r="AE26" s="68" t="s">
        <v>116</v>
      </c>
      <c r="AF26" s="57"/>
    </row>
    <row r="27" spans="1:32" ht="12.75" customHeight="1">
      <c r="A27" s="76"/>
      <c r="B27" s="77" t="s">
        <v>117</v>
      </c>
      <c r="C27" s="77"/>
      <c r="D27" s="87">
        <v>0.03</v>
      </c>
      <c r="E27" s="79"/>
      <c r="F27" s="79">
        <f t="shared" si="0"/>
        <v>21.16455</v>
      </c>
      <c r="G27" s="73"/>
      <c r="H27" s="73"/>
      <c r="I27" s="80"/>
      <c r="L27" s="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>
        <v>9</v>
      </c>
      <c r="Y27" s="68" t="s">
        <v>118</v>
      </c>
      <c r="Z27" s="64">
        <v>0</v>
      </c>
      <c r="AA27" s="68" t="s">
        <v>119</v>
      </c>
      <c r="AB27" s="68" t="s">
        <v>120</v>
      </c>
      <c r="AC27" s="68" t="s">
        <v>121</v>
      </c>
      <c r="AD27" s="68" t="s">
        <v>122</v>
      </c>
      <c r="AE27" s="68" t="s">
        <v>123</v>
      </c>
      <c r="AF27" s="57"/>
    </row>
    <row r="28" spans="1:32" ht="12.75" customHeight="1">
      <c r="A28" s="76"/>
      <c r="B28" s="77" t="s">
        <v>124</v>
      </c>
      <c r="C28" s="77"/>
      <c r="D28" s="87">
        <v>0.035</v>
      </c>
      <c r="E28" s="79"/>
      <c r="F28" s="79">
        <f t="shared" si="0"/>
        <v>24.691975000000006</v>
      </c>
      <c r="G28" s="73"/>
      <c r="H28" s="88"/>
      <c r="I28" s="89"/>
      <c r="L28" s="5"/>
      <c r="M28" s="64">
        <f>CONCATENATE(Y29,Z29,AA29,AB29,AC29,AD29,AE29,"CON"," ",AF29)</f>
        <v>0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57"/>
      <c r="Y28" s="68">
        <f>VLOOKUP(S18,X16:AF27,2,FALSE)</f>
        <v>0</v>
      </c>
      <c r="Z28" s="68">
        <f>IF(U18+V18=0,VLOOKUP(T18,X16:AF27,3,FALSE),0)</f>
        <v>0</v>
      </c>
      <c r="AA28" s="68">
        <f>IF(U18+V18=0," ",VLOOKUP(T18,X16:AF27,4,FALSE))</f>
        <v>0</v>
      </c>
      <c r="AB28" s="68">
        <f>IF(V18=0,VLOOKUP(U18,X16:AF27,5,FALSE),0)</f>
        <v>0</v>
      </c>
      <c r="AC28" s="68">
        <f>IF(V18=0,"",VLOOKUP(U18,X16:AF27,6,FALSE))</f>
        <v>0</v>
      </c>
      <c r="AD28" s="68">
        <f>IF(U18=1,VLOOKUP(V18,X16:AF27,7,FALSE),0)</f>
        <v>0</v>
      </c>
      <c r="AE28" s="68">
        <f>IF(U18=1,"",IF(V18=0,"",VLOOKUP(V18,X16:AF27,8,FALSE)))</f>
        <v>0</v>
      </c>
      <c r="AF28" s="69"/>
    </row>
    <row r="29" spans="1:32" ht="12.75" customHeight="1">
      <c r="A29" s="76"/>
      <c r="B29" s="77" t="s">
        <v>125</v>
      </c>
      <c r="C29" s="77"/>
      <c r="D29" s="72"/>
      <c r="E29" s="79"/>
      <c r="F29" s="90"/>
      <c r="G29" s="73"/>
      <c r="H29" s="88"/>
      <c r="I29" s="91">
        <f>ROUNDUP((C32-F32),0)-(C32-F32)</f>
        <v>0.13942499999996016</v>
      </c>
      <c r="J29" s="92"/>
      <c r="L29" s="5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57"/>
      <c r="Y29" s="68">
        <f>IF(Y28=0,"",Y28)</f>
        <v>0</v>
      </c>
      <c r="Z29" s="68">
        <f>IF(Z28=0,"",Z28)</f>
        <v>0</v>
      </c>
      <c r="AA29" s="68">
        <f>IF(AA28=0,"",AA28)</f>
        <v>0</v>
      </c>
      <c r="AB29" s="68">
        <f>IF(AB28=0,"",AB28)</f>
        <v>0</v>
      </c>
      <c r="AC29" s="68">
        <f>IF(AC28=0,"",AC28)</f>
        <v>0</v>
      </c>
      <c r="AD29" s="68">
        <f>IF(AD28=0,"",AD28)</f>
        <v>0</v>
      </c>
      <c r="AE29" s="68">
        <f>IF(AE28=0,"",AE28)</f>
        <v>0</v>
      </c>
      <c r="AF29" s="93">
        <f>CONCATENATE(AF17,"/100")</f>
        <v>0</v>
      </c>
    </row>
    <row r="30" spans="1:21" ht="17.25" customHeight="1">
      <c r="A30" s="76"/>
      <c r="B30" s="77"/>
      <c r="C30" s="77"/>
      <c r="D30" s="72"/>
      <c r="E30" s="79"/>
      <c r="F30" s="79"/>
      <c r="G30" s="73"/>
      <c r="H30" s="73"/>
      <c r="I30" s="80"/>
      <c r="J30" s="94"/>
      <c r="L30" s="5"/>
      <c r="N30" s="3"/>
      <c r="S30" s="3"/>
      <c r="T30" s="3"/>
      <c r="U30" s="3"/>
    </row>
    <row r="31" spans="1:21" ht="17.25" customHeight="1">
      <c r="A31" s="76"/>
      <c r="B31" s="77"/>
      <c r="C31" s="77"/>
      <c r="D31" s="72"/>
      <c r="E31" s="73"/>
      <c r="F31" s="73"/>
      <c r="G31" s="73"/>
      <c r="H31" s="73"/>
      <c r="I31" s="95"/>
      <c r="J31" s="96"/>
      <c r="L31" s="5"/>
      <c r="M31" s="97"/>
      <c r="N31" s="3"/>
      <c r="S31" s="3"/>
      <c r="T31" s="3"/>
      <c r="U31" s="3"/>
    </row>
    <row r="32" spans="1:21" ht="12.75" customHeight="1">
      <c r="A32" s="98" t="s">
        <v>126</v>
      </c>
      <c r="B32" s="98"/>
      <c r="C32" s="99">
        <f>SUM(E19:E29)</f>
        <v>705.485</v>
      </c>
      <c r="D32" s="100" t="s">
        <v>126</v>
      </c>
      <c r="E32" s="100"/>
      <c r="F32" s="99">
        <f>SUM(F25:F31)</f>
        <v>144.624425</v>
      </c>
      <c r="G32" s="99"/>
      <c r="H32" s="101" t="s">
        <v>127</v>
      </c>
      <c r="I32" s="102">
        <f>C32-F32+I29</f>
        <v>561</v>
      </c>
      <c r="L32" s="5"/>
      <c r="M32" s="97"/>
      <c r="N32" s="97"/>
      <c r="O32" s="97"/>
      <c r="S32" s="3"/>
      <c r="T32" s="3"/>
      <c r="U32" s="3"/>
    </row>
    <row r="33" spans="1:21" ht="12.75" customHeight="1">
      <c r="A33" s="103" t="s">
        <v>128</v>
      </c>
      <c r="B33" s="103"/>
      <c r="C33" s="99"/>
      <c r="D33" s="104" t="s">
        <v>53</v>
      </c>
      <c r="E33" s="104"/>
      <c r="F33" s="99"/>
      <c r="G33" s="99"/>
      <c r="H33" s="105" t="s">
        <v>129</v>
      </c>
      <c r="I33" s="102"/>
      <c r="L33" s="5"/>
      <c r="S33" s="3"/>
      <c r="T33" s="3"/>
      <c r="U33" s="3"/>
    </row>
    <row r="34" spans="1:21" ht="15" customHeight="1">
      <c r="A34" s="106"/>
      <c r="B34" s="61"/>
      <c r="C34" s="61"/>
      <c r="D34" s="61"/>
      <c r="E34" s="107"/>
      <c r="F34" s="61"/>
      <c r="G34" s="61"/>
      <c r="H34" s="61"/>
      <c r="I34" s="108"/>
      <c r="L34" s="5"/>
      <c r="S34" s="3"/>
      <c r="T34" s="3"/>
      <c r="U34" s="3"/>
    </row>
    <row r="35" spans="1:33" s="113" customFormat="1" ht="12.75" customHeight="1">
      <c r="A35" s="109" t="s">
        <v>130</v>
      </c>
      <c r="B35" s="110"/>
      <c r="C35" s="110"/>
      <c r="D35" s="110"/>
      <c r="E35" s="111"/>
      <c r="F35" s="110"/>
      <c r="G35" s="110"/>
      <c r="H35" s="110"/>
      <c r="I35" s="112"/>
      <c r="J35"/>
      <c r="L35" s="2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14"/>
    </row>
    <row r="36" spans="1:33" s="113" customFormat="1" ht="12.75" customHeight="1">
      <c r="A36" s="106"/>
      <c r="B36" s="61"/>
      <c r="C36" s="61"/>
      <c r="D36" s="61"/>
      <c r="E36" s="115">
        <f>+M28</f>
        <v>0</v>
      </c>
      <c r="F36" s="61"/>
      <c r="G36" s="61"/>
      <c r="H36" s="61"/>
      <c r="I36" s="108"/>
      <c r="J36" s="116"/>
      <c r="L36" s="2"/>
      <c r="M36" s="3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14"/>
    </row>
    <row r="37" spans="1:21" ht="12.75" customHeight="1">
      <c r="A37" s="106"/>
      <c r="B37" s="61"/>
      <c r="C37" s="61"/>
      <c r="D37" s="61"/>
      <c r="E37" s="107"/>
      <c r="F37" s="61"/>
      <c r="G37" s="61"/>
      <c r="H37" s="61"/>
      <c r="I37" s="108"/>
      <c r="M37" s="117"/>
      <c r="N37" s="117"/>
      <c r="O37" s="117"/>
      <c r="S37" s="3"/>
      <c r="T37" s="3"/>
      <c r="U37" s="3"/>
    </row>
    <row r="38" spans="1:21" ht="12.75" customHeight="1">
      <c r="A38" s="118" t="s">
        <v>19</v>
      </c>
      <c r="B38" s="118"/>
      <c r="C38" s="119"/>
      <c r="D38" s="119"/>
      <c r="E38" s="120"/>
      <c r="F38" s="119"/>
      <c r="G38" s="119"/>
      <c r="H38" s="121">
        <f>+IF(A38="ORIGINAL","FIRMA DEL EMPLEADO","FIRMA DEL EMPLEADOR")</f>
        <v>0</v>
      </c>
      <c r="I38" s="121"/>
      <c r="S38" s="3"/>
      <c r="T38" s="3"/>
      <c r="U38" s="3"/>
    </row>
    <row r="39" ht="17.25" customHeight="1"/>
    <row r="40" ht="17.25" customHeight="1"/>
  </sheetData>
  <sheetProtection selectLockedCells="1" selectUnlockedCells="1"/>
  <mergeCells count="59">
    <mergeCell ref="A1:H1"/>
    <mergeCell ref="F2:H2"/>
    <mergeCell ref="F3:H3"/>
    <mergeCell ref="A4:H4"/>
    <mergeCell ref="A5:H5"/>
    <mergeCell ref="A6:H6"/>
    <mergeCell ref="A7:E7"/>
    <mergeCell ref="G7:H7"/>
    <mergeCell ref="A8:E8"/>
    <mergeCell ref="G8:H8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M16:M18"/>
    <mergeCell ref="N16:P16"/>
    <mergeCell ref="Q16:S16"/>
    <mergeCell ref="T16:T17"/>
    <mergeCell ref="U16:U17"/>
    <mergeCell ref="V16:V17"/>
    <mergeCell ref="W16:W17"/>
    <mergeCell ref="A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M28:W29"/>
    <mergeCell ref="B29:C29"/>
    <mergeCell ref="B30:C30"/>
    <mergeCell ref="B31:C31"/>
    <mergeCell ref="A32:B32"/>
    <mergeCell ref="C32:C33"/>
    <mergeCell ref="D32:E32"/>
    <mergeCell ref="F32:G33"/>
    <mergeCell ref="I32:I33"/>
    <mergeCell ref="A33:B33"/>
    <mergeCell ref="D33:E33"/>
    <mergeCell ref="A38:B38"/>
    <mergeCell ref="H38:I38"/>
  </mergeCells>
  <dataValidations count="2">
    <dataValidation type="list" allowBlank="1" showErrorMessage="1" sqref="A12:C12">
      <formula1>#REF!</formula1>
      <formula2>0</formula2>
    </dataValidation>
    <dataValidation type="list" allowBlank="1" showErrorMessage="1" sqref="A38">
      <formula1>$BL$8:$BL$9</formula1>
      <formula2>0</formula2>
    </dataValidation>
  </dataValidations>
  <printOptions/>
  <pageMargins left="0.39375" right="0.39375" top="0.39375" bottom="1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2011-10-26T14:00:09Z</cp:lastPrinted>
  <dcterms:created xsi:type="dcterms:W3CDTF">2008-07-05T18:52:57Z</dcterms:created>
  <dcterms:modified xsi:type="dcterms:W3CDTF">2017-05-22T17:01:31Z</dcterms:modified>
  <cp:category/>
  <cp:version/>
  <cp:contentType/>
  <cp:contentStatus/>
  <cp:revision>3</cp:revision>
</cp:coreProperties>
</file>